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Mimecast\PATI\temp\e4698371-4e9a-43f9-9563-122ac02bd98e\"/>
    </mc:Choice>
  </mc:AlternateContent>
  <bookViews>
    <workbookView xWindow="5580" yWindow="750" windowWidth="12000" windowHeight="4875"/>
  </bookViews>
  <sheets>
    <sheet name="Input" sheetId="1" r:id="rId1"/>
  </sheets>
  <calcPr calcId="152511"/>
</workbook>
</file>

<file path=xl/calcChain.xml><?xml version="1.0" encoding="utf-8"?>
<calcChain xmlns="http://schemas.openxmlformats.org/spreadsheetml/2006/main">
  <c r="M12" i="1" l="1"/>
  <c r="M11" i="1"/>
  <c r="L12" i="1"/>
  <c r="L11" i="1"/>
  <c r="I11" i="1" l="1"/>
  <c r="I10" i="1"/>
  <c r="I9" i="1"/>
  <c r="I8" i="1" s="1"/>
  <c r="L3" i="1" s="1"/>
  <c r="F14" i="1" l="1"/>
  <c r="E14" i="1"/>
  <c r="D14" i="1"/>
  <c r="O20" i="1"/>
  <c r="N20" i="1" s="1"/>
  <c r="O19" i="1"/>
  <c r="N19" i="1" s="1"/>
  <c r="O18" i="1"/>
  <c r="N18" i="1" s="1"/>
  <c r="O17" i="1"/>
  <c r="O16" i="1"/>
  <c r="N16" i="1" s="1"/>
  <c r="O15" i="1"/>
  <c r="N15" i="1" s="1"/>
  <c r="O14" i="1"/>
  <c r="O13" i="1"/>
  <c r="N13" i="1" s="1"/>
  <c r="O12" i="1"/>
  <c r="N12" i="1" s="1"/>
  <c r="P12" i="1" s="1"/>
  <c r="O11" i="1"/>
  <c r="N17" i="1" l="1"/>
  <c r="N14" i="1"/>
  <c r="O10" i="1" l="1"/>
  <c r="L9" i="1" l="1"/>
  <c r="N11" i="1" l="1"/>
  <c r="P11" i="1" s="1"/>
  <c r="L4" i="1" l="1"/>
  <c r="O22" i="1"/>
  <c r="L5" i="1" l="1"/>
  <c r="N22" i="1"/>
  <c r="L6" i="1" l="1"/>
  <c r="L7" i="1" s="1"/>
  <c r="M13" i="1"/>
  <c r="L13" i="1"/>
  <c r="L15" i="1" s="1"/>
  <c r="M15" i="1" s="1"/>
  <c r="C20" i="1"/>
  <c r="M14" i="1" l="1"/>
  <c r="L16" i="1"/>
  <c r="L14" i="1"/>
  <c r="P13" i="1"/>
  <c r="L18" i="1" l="1"/>
  <c r="M16" i="1"/>
  <c r="P16" i="1" s="1"/>
  <c r="P15" i="1"/>
  <c r="P14" i="1"/>
  <c r="M18" i="1" l="1"/>
  <c r="M17" i="1" s="1"/>
  <c r="L17" i="1"/>
  <c r="L19" i="1"/>
  <c r="M19" i="1" l="1"/>
  <c r="P17" i="1"/>
  <c r="L20" i="1"/>
  <c r="M20" i="1" s="1"/>
  <c r="P18" i="1"/>
  <c r="P19" i="1"/>
  <c r="P20" i="1" l="1"/>
  <c r="P22" i="1" s="1"/>
  <c r="C21" i="1" s="1"/>
  <c r="L23" i="1" s="1"/>
  <c r="D25" i="1" s="1"/>
  <c r="D24" i="1" l="1"/>
  <c r="D23" i="1"/>
</calcChain>
</file>

<file path=xl/sharedStrings.xml><?xml version="1.0" encoding="utf-8"?>
<sst xmlns="http://schemas.openxmlformats.org/spreadsheetml/2006/main" count="76" uniqueCount="72">
  <si>
    <t>psig</t>
  </si>
  <si>
    <t>Suction Pressure</t>
  </si>
  <si>
    <t>Suction Temperature</t>
  </si>
  <si>
    <t>F</t>
  </si>
  <si>
    <t>Discharge Pressure</t>
  </si>
  <si>
    <t>Horsepower</t>
  </si>
  <si>
    <t># Stages</t>
  </si>
  <si>
    <t>Total Ratios</t>
  </si>
  <si>
    <t>Ratios per stage</t>
  </si>
  <si>
    <t>P&amp;T Trails</t>
  </si>
  <si>
    <t>Discharge 1</t>
  </si>
  <si>
    <t>Discharge 2</t>
  </si>
  <si>
    <t>Discharge 3</t>
  </si>
  <si>
    <t>Temp, F</t>
  </si>
  <si>
    <t>Pressure, Psig</t>
  </si>
  <si>
    <t>Final Discharge</t>
  </si>
  <si>
    <t>User Input</t>
  </si>
  <si>
    <t>Calculations</t>
  </si>
  <si>
    <t>(must be 1, 2 or 3)</t>
  </si>
  <si>
    <t>SCF</t>
  </si>
  <si>
    <t>Actual cubic feet</t>
  </si>
  <si>
    <t>Suction Scrubber</t>
  </si>
  <si>
    <t>2nd</t>
  </si>
  <si>
    <t>3rd</t>
  </si>
  <si>
    <t>Standard Pressure</t>
  </si>
  <si>
    <t>Standard Temp</t>
  </si>
  <si>
    <t>Ratio 1st stage</t>
  </si>
  <si>
    <t>Ratio 2nd stage</t>
  </si>
  <si>
    <t>Ratio 3rd stage</t>
  </si>
  <si>
    <t>Shifts ratios towards 1st stage</t>
  </si>
  <si>
    <t>shifts ratios towards 2nd stage</t>
  </si>
  <si>
    <t>Result:</t>
  </si>
  <si>
    <t>All 1 stage</t>
  </si>
  <si>
    <t>Small 2 stage</t>
  </si>
  <si>
    <t>Small 3 stage</t>
  </si>
  <si>
    <t>Large 3 stage</t>
  </si>
  <si>
    <t>Large    2 stage</t>
  </si>
  <si>
    <t>Standard Conditions</t>
  </si>
  <si>
    <t>Elevation</t>
  </si>
  <si>
    <t>inches</t>
  </si>
  <si>
    <t>(minimum 50, maximum 2,400)</t>
  </si>
  <si>
    <t>Suction 3 Scrubber</t>
  </si>
  <si>
    <t>Suction Other</t>
  </si>
  <si>
    <t>Suction 2 Scrubber</t>
  </si>
  <si>
    <t>Suction 2 Other</t>
  </si>
  <si>
    <t>Suction 3 Other</t>
  </si>
  <si>
    <t>Scrubber Dimensions (optional)</t>
  </si>
  <si>
    <t>1st</t>
  </si>
  <si>
    <t xml:space="preserve">Actual Cubic Feet </t>
  </si>
  <si>
    <t>Suction Scrubber Diameter</t>
  </si>
  <si>
    <t>Suction Scrubber Length s/s</t>
  </si>
  <si>
    <t>Number of Scrubbers per stage</t>
  </si>
  <si>
    <t>Molecular Weight</t>
  </si>
  <si>
    <t>Version #</t>
  </si>
  <si>
    <t xml:space="preserve">Total ACF </t>
  </si>
  <si>
    <t>Total SCF</t>
  </si>
  <si>
    <t>weight %</t>
  </si>
  <si>
    <t>VOC</t>
  </si>
  <si>
    <t>pounds per event</t>
  </si>
  <si>
    <t>Benzene</t>
  </si>
  <si>
    <t>H2S</t>
  </si>
  <si>
    <t>Pounds per Event</t>
  </si>
  <si>
    <t xml:space="preserve">Pounds per event </t>
  </si>
  <si>
    <t>feet  --&gt;&gt;</t>
  </si>
  <si>
    <t>User Input Data</t>
  </si>
  <si>
    <t>Calculated SCF (ideal gas law)</t>
  </si>
  <si>
    <t>Calculated Temp (20 deg approach)</t>
  </si>
  <si>
    <t>Predicted ACF (GCA data)</t>
  </si>
  <si>
    <t>Calculated Temp (pressure ratios)</t>
  </si>
  <si>
    <t>Color Legend</t>
  </si>
  <si>
    <t xml:space="preserve">          Avg Atmospheric Pressure: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</si>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</sst>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2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9" fontId="0" fillId="0" borderId="0" xfId="0" applyNumberFormat="1"/>
    <xf numFmtId="0" fontId="0" fillId="0" borderId="0" xfId="0" applyFill="1"/>
    <xf numFmtId="1" fontId="0" fillId="0" borderId="0" xfId="0" applyNumberFormat="1"/>
    <xf numFmtId="9" fontId="0" fillId="0" borderId="0" xfId="0" applyNumberFormat="1" applyFill="1"/>
    <xf numFmtId="0" fontId="3" fillId="0" borderId="0" xfId="0" applyFont="1"/>
    <xf numFmtId="2" fontId="0" fillId="0" borderId="0" xfId="0" applyNumberFormat="1" applyAlignment="1">
      <alignment horizontal="left"/>
    </xf>
    <xf numFmtId="9" fontId="0" fillId="0" borderId="0" xfId="1" applyFont="1" applyBorder="1" applyAlignment="1">
      <alignment horizontal="center" wrapText="1"/>
    </xf>
    <xf numFmtId="0" fontId="3" fillId="0" borderId="4" xfId="0" applyFont="1" applyBorder="1"/>
    <xf numFmtId="1" fontId="3" fillId="0" borderId="5" xfId="0" applyNumberFormat="1" applyFont="1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1" fontId="3" fillId="0" borderId="0" xfId="0" applyNumberFormat="1" applyFont="1" applyBorder="1"/>
    <xf numFmtId="0" fontId="3" fillId="0" borderId="0" xfId="0" applyFont="1" applyBorder="1"/>
    <xf numFmtId="0" fontId="0" fillId="0" borderId="8" xfId="0" applyBorder="1"/>
    <xf numFmtId="0" fontId="0" fillId="0" borderId="0" xfId="0" applyBorder="1"/>
    <xf numFmtId="164" fontId="0" fillId="0" borderId="0" xfId="0" applyNumberFormat="1" applyBorder="1"/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0" fontId="2" fillId="0" borderId="0" xfId="0" applyFont="1" applyBorder="1" applyAlignment="1">
      <alignment horizontal="center"/>
    </xf>
    <xf numFmtId="9" fontId="0" fillId="0" borderId="0" xfId="0" applyNumberFormat="1" applyBorder="1"/>
    <xf numFmtId="0" fontId="4" fillId="0" borderId="0" xfId="0" applyFont="1"/>
    <xf numFmtId="0" fontId="4" fillId="0" borderId="0" xfId="0" applyFont="1" applyProtection="1">
      <protection hidden="1"/>
    </xf>
    <xf numFmtId="165" fontId="0" fillId="2" borderId="0" xfId="1" applyNumberFormat="1" applyFont="1" applyFill="1" applyBorder="1" applyProtection="1">
      <protection locked="0"/>
    </xf>
    <xf numFmtId="165" fontId="0" fillId="2" borderId="10" xfId="1" applyNumberFormat="1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14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0" xfId="0" applyFill="1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0" borderId="12" xfId="0" applyNumberFormat="1" applyBorder="1"/>
    <xf numFmtId="9" fontId="5" fillId="0" borderId="0" xfId="0" applyNumberFormat="1" applyFont="1"/>
    <xf numFmtId="0" fontId="5" fillId="0" borderId="0" xfId="0" applyFont="1"/>
    <xf numFmtId="2" fontId="0" fillId="0" borderId="12" xfId="0" applyNumberFormat="1" applyBorder="1"/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center" wrapText="1"/>
    </xf>
    <xf numFmtId="2" fontId="0" fillId="6" borderId="12" xfId="0" applyNumberFormat="1" applyFill="1" applyBorder="1"/>
    <xf numFmtId="9" fontId="0" fillId="6" borderId="12" xfId="0" applyNumberFormat="1" applyFill="1" applyBorder="1"/>
    <xf numFmtId="1" fontId="0" fillId="5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6" xfId="0" applyBorder="1"/>
    <xf numFmtId="0" fontId="0" fillId="0" borderId="17" xfId="0" applyBorder="1"/>
    <xf numFmtId="1" fontId="0" fillId="0" borderId="15" xfId="0" applyNumberFormat="1" applyBorder="1" applyAlignment="1">
      <alignment horizontal="center"/>
    </xf>
    <xf numFmtId="9" fontId="0" fillId="0" borderId="15" xfId="0" applyNumberFormat="1" applyBorder="1"/>
    <xf numFmtId="2" fontId="0" fillId="0" borderId="15" xfId="0" applyNumberFormat="1" applyBorder="1"/>
    <xf numFmtId="164" fontId="0" fillId="0" borderId="12" xfId="0" applyNumberFormat="1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1" fontId="0" fillId="0" borderId="0" xfId="0" applyNumberFormat="1" applyBorder="1"/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10" xfId="0" applyBorder="1"/>
    <xf numFmtId="9" fontId="0" fillId="7" borderId="2" xfId="0" applyNumberFormat="1" applyFill="1" applyBorder="1" applyAlignment="1">
      <alignment horizontal="center"/>
    </xf>
    <xf numFmtId="9" fontId="0" fillId="7" borderId="3" xfId="0" applyNumberFormat="1" applyFill="1" applyBorder="1" applyAlignment="1">
      <alignment horizontal="center"/>
    </xf>
    <xf numFmtId="9" fontId="0" fillId="8" borderId="2" xfId="0" applyNumberFormat="1" applyFill="1" applyBorder="1" applyAlignment="1">
      <alignment horizontal="center"/>
    </xf>
    <xf numFmtId="9" fontId="0" fillId="8" borderId="3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2" fontId="4" fillId="0" borderId="0" xfId="0" applyNumberFormat="1" applyFont="1" applyProtection="1">
      <protection hidden="1"/>
    </xf>
    <xf numFmtId="2" fontId="2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6" borderId="27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28" xfId="0" applyFill="1" applyBorder="1" applyAlignment="1">
      <alignment horizontal="left"/>
    </xf>
    <xf numFmtId="0" fontId="0" fillId="5" borderId="29" xfId="0" applyFill="1" applyBorder="1" applyAlignment="1">
      <alignment horizontal="left"/>
    </xf>
    <xf numFmtId="0" fontId="0" fillId="5" borderId="30" xfId="0" applyFill="1" applyBorder="1" applyAlignment="1">
      <alignment horizontal="left"/>
    </xf>
    <xf numFmtId="0" fontId="0" fillId="5" borderId="31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1" fontId="0" fillId="3" borderId="27" xfId="0" applyNumberFormat="1" applyFill="1" applyBorder="1" applyAlignment="1">
      <alignment horizontal="left"/>
    </xf>
    <xf numFmtId="1" fontId="0" fillId="3" borderId="0" xfId="0" applyNumberFormat="1" applyFill="1" applyBorder="1" applyAlignment="1">
      <alignment horizontal="left"/>
    </xf>
    <xf numFmtId="1" fontId="0" fillId="3" borderId="28" xfId="0" applyNumberFormat="1" applyFill="1" applyBorder="1" applyAlignment="1">
      <alignment horizontal="left"/>
    </xf>
    <xf numFmtId="1" fontId="0" fillId="4" borderId="27" xfId="0" applyNumberFormat="1" applyFill="1" applyBorder="1" applyAlignment="1">
      <alignment horizontal="left"/>
    </xf>
    <xf numFmtId="1" fontId="0" fillId="4" borderId="0" xfId="0" applyNumberFormat="1" applyFill="1" applyBorder="1" applyAlignment="1">
      <alignment horizontal="left"/>
    </xf>
    <xf numFmtId="1" fontId="0" fillId="4" borderId="28" xfId="0" applyNumberForma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showGridLines="0" tabSelected="1" zoomScale="110" zoomScaleNormal="110" workbookViewId="0">
      <selection activeCell="C3" sqref="C3"/>
    </sheetView>
  </sheetViews>
  <sheetFormatPr defaultRowHeight="15" x14ac:dyDescent="0.25"/>
  <cols>
    <col min="1" max="1" width="4.28515625" customWidth="1"/>
    <col min="2" max="2" width="19.7109375" customWidth="1"/>
    <col min="3" max="3" width="9.28515625" customWidth="1"/>
    <col min="4" max="4" width="10" customWidth="1"/>
    <col min="5" max="5" width="9.5703125" customWidth="1"/>
    <col min="6" max="6" width="7.5703125" customWidth="1"/>
    <col min="8" max="8" width="4.42578125" customWidth="1"/>
    <col min="9" max="9" width="13.5703125" customWidth="1"/>
    <col min="10" max="10" width="4.28515625" customWidth="1"/>
    <col min="11" max="11" width="17.5703125" bestFit="1" customWidth="1"/>
    <col min="13" max="13" width="10.28515625" customWidth="1"/>
    <col min="17" max="17" width="8.28515625" customWidth="1"/>
  </cols>
  <sheetData>
    <row r="1" spans="1:17" x14ac:dyDescent="0.25">
      <c r="G1" t="s">
        <v>53</v>
      </c>
      <c r="H1" s="69">
        <v>1</v>
      </c>
      <c r="L1" s="6"/>
      <c r="M1" s="20"/>
    </row>
    <row r="2" spans="1:17" ht="23.25" x14ac:dyDescent="0.35">
      <c r="A2" s="9" t="s">
        <v>16</v>
      </c>
      <c r="J2" s="9" t="s">
        <v>17</v>
      </c>
    </row>
    <row r="3" spans="1:17" x14ac:dyDescent="0.25">
      <c r="B3" s="32" t="s">
        <v>5</v>
      </c>
      <c r="C3" s="36"/>
      <c r="D3" t="s">
        <v>40</v>
      </c>
      <c r="K3" s="32" t="s">
        <v>7</v>
      </c>
      <c r="L3" s="46" t="str">
        <f>IF(C4="","",IFERROR((C7+$I$8)/(C5+$I$8),""))</f>
        <v/>
      </c>
    </row>
    <row r="4" spans="1:17" x14ac:dyDescent="0.25">
      <c r="B4" s="32" t="s">
        <v>6</v>
      </c>
      <c r="C4" s="66"/>
      <c r="D4" t="s">
        <v>18</v>
      </c>
      <c r="K4" s="32" t="s">
        <v>8</v>
      </c>
      <c r="L4" s="46" t="str">
        <f>IFERROR(L3^(1/C4),"")</f>
        <v/>
      </c>
    </row>
    <row r="5" spans="1:17" x14ac:dyDescent="0.25">
      <c r="B5" s="32" t="s">
        <v>1</v>
      </c>
      <c r="C5" s="66"/>
      <c r="D5" t="s">
        <v>0</v>
      </c>
      <c r="K5" s="32" t="s">
        <v>26</v>
      </c>
      <c r="L5" s="46" t="str">
        <f>IFERROR(IF(C4=1,L4,L4*M5),"")</f>
        <v/>
      </c>
      <c r="M5" s="44">
        <v>1.1000000000000001</v>
      </c>
      <c r="N5" s="45" t="s">
        <v>29</v>
      </c>
      <c r="O5" s="45"/>
      <c r="P5" s="45"/>
    </row>
    <row r="6" spans="1:17" x14ac:dyDescent="0.25">
      <c r="B6" s="32" t="s">
        <v>2</v>
      </c>
      <c r="C6" s="66"/>
      <c r="D6" t="s">
        <v>3</v>
      </c>
      <c r="K6" s="32" t="s">
        <v>27</v>
      </c>
      <c r="L6" s="47" t="str">
        <f>IF(C4="","",IFERROR(IF(C4&lt;2,"-",IF(C4=2,L3/L5,L4*M6)),""))</f>
        <v/>
      </c>
      <c r="M6" s="44">
        <v>1.1000000000000001</v>
      </c>
      <c r="N6" s="45" t="s">
        <v>30</v>
      </c>
      <c r="O6" s="45"/>
      <c r="P6" s="45"/>
    </row>
    <row r="7" spans="1:17" x14ac:dyDescent="0.25">
      <c r="B7" s="32" t="s">
        <v>4</v>
      </c>
      <c r="C7" s="66"/>
      <c r="D7" t="s">
        <v>0</v>
      </c>
      <c r="K7" s="32" t="s">
        <v>28</v>
      </c>
      <c r="L7" s="47" t="str">
        <f>IF(C4="","",IFERROR(IF(C4&lt;3,"-",L3/L5/L6),""))</f>
        <v/>
      </c>
    </row>
    <row r="8" spans="1:17" x14ac:dyDescent="0.25">
      <c r="B8" s="32" t="s">
        <v>38</v>
      </c>
      <c r="C8" s="66"/>
      <c r="D8" t="s">
        <v>63</v>
      </c>
      <c r="E8" t="s">
        <v>70</v>
      </c>
      <c r="I8" s="10">
        <f>CHOOSE(IF($C$8&lt;=5000,1,IF($C$8&lt;=10000,2,IF($C$8&lt;=15000,3,4))),I9,I10,I11,"out of range")</f>
        <v>14.7</v>
      </c>
      <c r="L8" s="1"/>
    </row>
    <row r="9" spans="1:17" x14ac:dyDescent="0.25">
      <c r="B9" s="32" t="s">
        <v>52</v>
      </c>
      <c r="C9" s="67"/>
      <c r="I9" s="45">
        <f>14.7-($C$8/1000)*(1.003/2.036)</f>
        <v>14.7</v>
      </c>
      <c r="K9" s="86" t="s">
        <v>9</v>
      </c>
      <c r="L9" s="84" t="str">
        <f>C4&amp;" Stage"</f>
        <v xml:space="preserve"> Stage</v>
      </c>
      <c r="M9" s="85"/>
      <c r="N9" s="8"/>
    </row>
    <row r="10" spans="1:17" ht="45" x14ac:dyDescent="0.25">
      <c r="B10" s="20" t="s">
        <v>46</v>
      </c>
      <c r="C10" s="37"/>
      <c r="D10" s="3" t="s">
        <v>47</v>
      </c>
      <c r="E10" s="3" t="s">
        <v>22</v>
      </c>
      <c r="F10" s="3" t="s">
        <v>23</v>
      </c>
      <c r="I10" s="45">
        <f>(14.7-5*1.006/2.036)-($C$8-5000)/1000*(0.862/2.036)</f>
        <v>14.346365422396854</v>
      </c>
      <c r="K10" s="87"/>
      <c r="L10" s="58" t="s">
        <v>14</v>
      </c>
      <c r="M10" s="48" t="s">
        <v>13</v>
      </c>
      <c r="N10" s="48" t="s">
        <v>20</v>
      </c>
      <c r="O10" s="48" t="str">
        <f>INDEX($L28:$P28,1,MATCH(IF($C$4=1,1,IF($C$4=2,IF($C$3&lt;250,2,3),IF($C$3&lt;250,4,5))),$L$27:$P$27,0))</f>
        <v>Small 3 stage</v>
      </c>
      <c r="P10" s="48" t="s">
        <v>19</v>
      </c>
      <c r="Q10" s="2"/>
    </row>
    <row r="11" spans="1:17" x14ac:dyDescent="0.25">
      <c r="B11" s="33" t="s">
        <v>49</v>
      </c>
      <c r="C11" s="34"/>
      <c r="D11" s="38">
        <v>0</v>
      </c>
      <c r="E11" s="39">
        <v>0</v>
      </c>
      <c r="F11" s="40">
        <v>0</v>
      </c>
      <c r="G11" t="s">
        <v>39</v>
      </c>
      <c r="I11" s="45">
        <f>((14.7-5*1.006/2.036)-5*0.862/2.036)-($C$8-10000)/1000*(0.74/2.036)</f>
        <v>13.747151277013751</v>
      </c>
      <c r="K11" s="32" t="s">
        <v>21</v>
      </c>
      <c r="L11" s="48" t="str">
        <f>IF(C4="","",IFERROR(C5,""))</f>
        <v/>
      </c>
      <c r="M11" s="48" t="str">
        <f>IF(C4="","",IFERROR(C6,""))</f>
        <v/>
      </c>
      <c r="N11" s="49">
        <f>IFERROR(IF(D14=0,(IF(C4=1,0.0817,0.099))*$C$3*O11,D14),"")</f>
        <v>0</v>
      </c>
      <c r="O11" s="50">
        <f t="shared" ref="O11:O20" si="0">IFERROR(INDEX($L29:$P29,1,MATCH(IF($C$4=1,1,IF($C$4=2,IF($C$3&lt;250,2,3),IF($C$3&lt;250,4,5))),$L$27:$P$27,0)),"")</f>
        <v>0.36786546071270665</v>
      </c>
      <c r="P11" s="51" t="str">
        <f>IFERROR(IF(L11="","",N11*((459.67+$C$17)*(L11+$I$8))/((459.67+M11)*$C$16)),"")</f>
        <v/>
      </c>
      <c r="Q11" s="2"/>
    </row>
    <row r="12" spans="1:17" x14ac:dyDescent="0.25">
      <c r="B12" s="33" t="s">
        <v>50</v>
      </c>
      <c r="C12" s="34"/>
      <c r="D12" s="41">
        <v>0</v>
      </c>
      <c r="E12" s="31">
        <v>0</v>
      </c>
      <c r="F12" s="42">
        <v>0</v>
      </c>
      <c r="G12" t="s">
        <v>39</v>
      </c>
      <c r="K12" s="32" t="s">
        <v>42</v>
      </c>
      <c r="L12" s="52" t="str">
        <f>IF(C4="","",IFERROR(C5,""))</f>
        <v/>
      </c>
      <c r="M12" s="52" t="str">
        <f>IF(C4="","",IFERROR(C6,""))</f>
        <v/>
      </c>
      <c r="N12" s="49">
        <f>IFERROR((IF(C4=1,0.0817,0.099))*$C$3*O12,"")</f>
        <v>0</v>
      </c>
      <c r="O12" s="50">
        <f t="shared" si="0"/>
        <v>5.4271908986456195E-2</v>
      </c>
      <c r="P12" s="51" t="str">
        <f>IFERROR(IF(L12="","",N12*((459.67+$C$17)*(L12+$I$8))/((459.67+M12)*$C$16)),"")</f>
        <v/>
      </c>
    </row>
    <row r="13" spans="1:17" x14ac:dyDescent="0.25">
      <c r="B13" s="33" t="s">
        <v>51</v>
      </c>
      <c r="C13" s="34"/>
      <c r="D13" s="41">
        <v>0</v>
      </c>
      <c r="E13" s="31">
        <v>0</v>
      </c>
      <c r="F13" s="42">
        <v>0</v>
      </c>
      <c r="K13" s="32" t="s">
        <v>10</v>
      </c>
      <c r="L13" s="53" t="str">
        <f>IFERROR((L12+$I$8)*L5-$I$8,"")</f>
        <v/>
      </c>
      <c r="M13" s="54" t="str">
        <f>IFERROR((M12+460)*$L$5^((1.26-1)/1.26)-460,"")</f>
        <v/>
      </c>
      <c r="N13" s="49">
        <f>IFERROR((IF(C4=1,0.0817,0.099))*$C$3*O13,"")</f>
        <v>0</v>
      </c>
      <c r="O13" s="50">
        <f t="shared" si="0"/>
        <v>0.12337996450656721</v>
      </c>
      <c r="P13" s="51" t="str">
        <f t="shared" ref="P13:P20" si="1">IFERROR(IF(L13="n/a","n/a",N13*((459.67+$C$17)*(L13+$I$8))/((459.67+M13)*$C$16)),"")</f>
        <v/>
      </c>
    </row>
    <row r="14" spans="1:17" x14ac:dyDescent="0.25">
      <c r="B14" s="33" t="s">
        <v>48</v>
      </c>
      <c r="C14" s="34"/>
      <c r="D14" s="43">
        <f>IFERROR((((D11^2/4*PI()*(D12+4)+2*PI()*D11^3/24))*D13)/1728,"")</f>
        <v>0</v>
      </c>
      <c r="E14" s="43">
        <f>IFERROR((((E11^2/4*PI()*(E12+4)+2*PI()*E11^3/24))*E13)/1728,"")</f>
        <v>0</v>
      </c>
      <c r="F14" s="43">
        <f>IFERROR((((F11^2/4*PI()*(F12+4)+2*PI()*F11^3/24))*F13)/1728,"")</f>
        <v>0</v>
      </c>
      <c r="H14" s="1"/>
      <c r="I14" s="5"/>
      <c r="K14" s="32" t="s">
        <v>43</v>
      </c>
      <c r="L14" s="53" t="str">
        <f>IFERROR(L15,"-")</f>
        <v/>
      </c>
      <c r="M14" s="55" t="str">
        <f>IFERROR(M15,"")</f>
        <v/>
      </c>
      <c r="N14" s="49">
        <f>IFERROR(IF(C4&lt;2,0,IF(E14=0,(IF(C4=1,0.0817,0.099))*$C$3*O14,E14)),"")</f>
        <v>0</v>
      </c>
      <c r="O14" s="50">
        <f t="shared" si="0"/>
        <v>0.1497598659327298</v>
      </c>
      <c r="P14" s="51" t="str">
        <f t="shared" si="1"/>
        <v/>
      </c>
    </row>
    <row r="15" spans="1:17" ht="23.25" x14ac:dyDescent="0.35">
      <c r="A15" s="9" t="s">
        <v>37</v>
      </c>
      <c r="C15" s="6"/>
      <c r="K15" s="32" t="s">
        <v>44</v>
      </c>
      <c r="L15" s="56" t="str">
        <f>IFERROR(IF(C4=1,"-",L13),"")</f>
        <v/>
      </c>
      <c r="M15" s="57" t="str">
        <f>IFERROR(IF(L15="-","-",IF(L15="","",100)),"")</f>
        <v/>
      </c>
      <c r="N15" s="49">
        <f>IFERROR((IF(C4=1,0.0817,0.099))*$C$3*O15,"")</f>
        <v>0</v>
      </c>
      <c r="O15" s="50">
        <f t="shared" si="0"/>
        <v>4.6046266290234006E-2</v>
      </c>
      <c r="P15" s="51" t="str">
        <f t="shared" si="1"/>
        <v/>
      </c>
    </row>
    <row r="16" spans="1:17" x14ac:dyDescent="0.25">
      <c r="B16" s="43" t="s">
        <v>24</v>
      </c>
      <c r="C16" s="34">
        <v>14.7</v>
      </c>
      <c r="D16" s="20"/>
      <c r="K16" s="32" t="s">
        <v>11</v>
      </c>
      <c r="L16" s="56" t="str">
        <f>IFERROR(IF(C4=1,"-",(L15+$I$8)*L6-$I$8),"")</f>
        <v/>
      </c>
      <c r="M16" s="54" t="str">
        <f>IFERROR(IF(L16="-","-",(M15+460)*$L$6^((1.26-1)/1.26)-460),"")</f>
        <v/>
      </c>
      <c r="N16" s="49">
        <f>IFERROR((IF(C4=1,0.0817,0.099))*$C$3*O16,"")</f>
        <v>0</v>
      </c>
      <c r="O16" s="50">
        <f t="shared" si="0"/>
        <v>6.2091378029308239E-2</v>
      </c>
      <c r="P16" s="51" t="str">
        <f t="shared" si="1"/>
        <v/>
      </c>
    </row>
    <row r="17" spans="2:18" x14ac:dyDescent="0.25">
      <c r="B17" s="43" t="s">
        <v>25</v>
      </c>
      <c r="C17" s="34">
        <v>60</v>
      </c>
      <c r="D17" s="20"/>
      <c r="K17" s="32" t="s">
        <v>41</v>
      </c>
      <c r="L17" s="56" t="str">
        <f>IFERROR(L18,"")</f>
        <v/>
      </c>
      <c r="M17" s="55" t="str">
        <f>IFERROR(M18,"")</f>
        <v/>
      </c>
      <c r="N17" s="49">
        <f>IFERROR(IF(C4&lt;3,0,IF(F14=0,(IF(C4=1,0.0817,0.099))*$C$3*O17,F14)),"")</f>
        <v>0</v>
      </c>
      <c r="O17" s="50">
        <f t="shared" si="0"/>
        <v>8.8156438031051082E-2</v>
      </c>
      <c r="P17" s="51" t="str">
        <f t="shared" si="1"/>
        <v/>
      </c>
    </row>
    <row r="18" spans="2:18" x14ac:dyDescent="0.25">
      <c r="B18" s="68"/>
      <c r="C18" s="37"/>
      <c r="D18" s="20"/>
      <c r="K18" s="32" t="s">
        <v>45</v>
      </c>
      <c r="L18" s="56" t="str">
        <f>IFERROR(IF(C4=1,"-",IF(C4=2,"-",L16)),"")</f>
        <v/>
      </c>
      <c r="M18" s="57" t="str">
        <f>IFERROR(IF(L18="-","-",IF(L18="","",100)),"")</f>
        <v/>
      </c>
      <c r="N18" s="49">
        <f>IFERROR((IF(C4=1,0.0817,0.099))*$C$3*O18,"")</f>
        <v>0</v>
      </c>
      <c r="O18" s="50">
        <f t="shared" si="0"/>
        <v>4.9958266929350674E-2</v>
      </c>
      <c r="P18" s="51" t="str">
        <f t="shared" si="1"/>
        <v/>
      </c>
    </row>
    <row r="19" spans="2:18" ht="15.75" thickBot="1" x14ac:dyDescent="0.3">
      <c r="E19" s="4"/>
      <c r="K19" s="32" t="s">
        <v>12</v>
      </c>
      <c r="L19" s="56" t="str">
        <f>IFERROR(IF(C4=1,"-",IF(C4=2,"-",(L18+$I$8)*L7-$I$8)),"")</f>
        <v/>
      </c>
      <c r="M19" s="54" t="str">
        <f>IFERROR(IF(L19="","",(M18+460)*$L$7^((1.26-1)/1.26)-460),"-")</f>
        <v/>
      </c>
      <c r="N19" s="49">
        <f>IFERROR((IF(C4=1,0.0817,0.099))*$C$3*O19,"")</f>
        <v>0</v>
      </c>
      <c r="O19" s="50">
        <f t="shared" si="0"/>
        <v>4.4863052810779673E-2</v>
      </c>
      <c r="P19" s="51" t="str">
        <f t="shared" si="1"/>
        <v/>
      </c>
    </row>
    <row r="20" spans="2:18" ht="23.25" x14ac:dyDescent="0.35">
      <c r="B20" s="12" t="s">
        <v>31</v>
      </c>
      <c r="C20" s="13">
        <f>+N22</f>
        <v>0</v>
      </c>
      <c r="D20" s="14" t="s">
        <v>54</v>
      </c>
      <c r="E20" s="70"/>
      <c r="F20" s="15"/>
      <c r="K20" s="32" t="s">
        <v>15</v>
      </c>
      <c r="L20" s="56" t="str">
        <f>IFERROR(IF(C4=1,L13,IF(C4=2,L16,L19)),"")</f>
        <v/>
      </c>
      <c r="M20" s="57" t="str">
        <f>IF(L20="","",100)</f>
        <v/>
      </c>
      <c r="N20" s="49">
        <f>IFERROR((IF(C4=1,0.0817,0.099))*$C$3*O20,"")</f>
        <v>0</v>
      </c>
      <c r="O20" s="50">
        <f t="shared" si="0"/>
        <v>1.3607397770816534E-2</v>
      </c>
      <c r="P20" s="51" t="str">
        <f t="shared" si="1"/>
        <v/>
      </c>
    </row>
    <row r="21" spans="2:18" ht="23.25" x14ac:dyDescent="0.35">
      <c r="B21" s="16"/>
      <c r="C21" s="17">
        <f>IFERROR(+P22,"")</f>
        <v>0</v>
      </c>
      <c r="D21" s="18" t="s">
        <v>55</v>
      </c>
      <c r="E21" s="20"/>
      <c r="F21" s="19"/>
    </row>
    <row r="22" spans="2:18" x14ac:dyDescent="0.25">
      <c r="B22" s="16"/>
      <c r="C22" s="20" t="s">
        <v>56</v>
      </c>
      <c r="D22" s="20" t="s">
        <v>62</v>
      </c>
      <c r="E22" s="20"/>
      <c r="F22" s="19"/>
      <c r="K22" s="59" t="s">
        <v>71</v>
      </c>
      <c r="L22" s="35"/>
      <c r="M22" s="60"/>
      <c r="N22" s="63">
        <f>SUM(N11:N21)</f>
        <v>0</v>
      </c>
      <c r="O22" s="62">
        <f>SUM(O11:O20)</f>
        <v>1</v>
      </c>
      <c r="P22" s="61">
        <f>IFERROR(SUM(P11:P20),"")</f>
        <v>0</v>
      </c>
      <c r="Q22" s="7"/>
    </row>
    <row r="23" spans="2:18" x14ac:dyDescent="0.25">
      <c r="B23" s="16" t="s">
        <v>57</v>
      </c>
      <c r="C23" s="29">
        <v>0</v>
      </c>
      <c r="D23" s="21">
        <f>IFERROR(+C23*L23,"")</f>
        <v>0</v>
      </c>
      <c r="E23" s="20" t="s">
        <v>58</v>
      </c>
      <c r="F23" s="19"/>
      <c r="K23" s="32" t="s">
        <v>61</v>
      </c>
      <c r="L23" s="64">
        <f>IFERROR(+C21*C16/(10.73159*(459.67+C17))*C9,"")</f>
        <v>0</v>
      </c>
      <c r="M23" s="65"/>
      <c r="N23" s="32"/>
      <c r="O23" s="32"/>
      <c r="P23" s="32"/>
    </row>
    <row r="24" spans="2:18" x14ac:dyDescent="0.25">
      <c r="B24" s="16" t="s">
        <v>59</v>
      </c>
      <c r="C24" s="29">
        <v>0</v>
      </c>
      <c r="D24" s="21">
        <f>IFERROR(+C24*L23,"")</f>
        <v>0</v>
      </c>
      <c r="E24" s="20" t="s">
        <v>58</v>
      </c>
      <c r="F24" s="19"/>
    </row>
    <row r="25" spans="2:18" ht="15.75" thickBot="1" x14ac:dyDescent="0.3">
      <c r="B25" s="22" t="s">
        <v>60</v>
      </c>
      <c r="C25" s="30">
        <v>0</v>
      </c>
      <c r="D25" s="23">
        <f>IFERROR(+C25*L23,"")</f>
        <v>0</v>
      </c>
      <c r="E25" s="71" t="s">
        <v>58</v>
      </c>
      <c r="F25" s="24"/>
    </row>
    <row r="26" spans="2:18" ht="15.75" thickBot="1" x14ac:dyDescent="0.3">
      <c r="R26" s="20"/>
    </row>
    <row r="27" spans="2:18" ht="15.75" thickBot="1" x14ac:dyDescent="0.3">
      <c r="B27" s="10"/>
      <c r="L27" s="78">
        <v>1</v>
      </c>
      <c r="M27" s="76">
        <v>2</v>
      </c>
      <c r="N27" s="78">
        <v>3</v>
      </c>
      <c r="O27" s="76">
        <v>4</v>
      </c>
      <c r="P27" s="78">
        <v>5</v>
      </c>
      <c r="R27" s="25"/>
    </row>
    <row r="28" spans="2:18" ht="30" x14ac:dyDescent="0.25">
      <c r="B28" s="10"/>
      <c r="L28" s="79" t="s">
        <v>32</v>
      </c>
      <c r="M28" s="77" t="s">
        <v>33</v>
      </c>
      <c r="N28" s="79" t="s">
        <v>36</v>
      </c>
      <c r="O28" s="77" t="s">
        <v>34</v>
      </c>
      <c r="P28" s="79" t="s">
        <v>35</v>
      </c>
      <c r="R28" s="11"/>
    </row>
    <row r="29" spans="2:18" x14ac:dyDescent="0.25">
      <c r="B29" s="81" t="s">
        <v>69</v>
      </c>
      <c r="C29" s="82"/>
      <c r="D29" s="82"/>
      <c r="E29" s="83"/>
      <c r="L29" s="72">
        <v>0.51674201211931936</v>
      </c>
      <c r="M29" s="74">
        <v>0.30668821711449024</v>
      </c>
      <c r="N29" s="72">
        <v>0.30668821711449024</v>
      </c>
      <c r="O29" s="74">
        <v>0.36786546071270665</v>
      </c>
      <c r="P29" s="72">
        <v>0.2453148113006422</v>
      </c>
      <c r="R29" s="11"/>
    </row>
    <row r="30" spans="2:18" x14ac:dyDescent="0.25">
      <c r="B30" s="94" t="s">
        <v>64</v>
      </c>
      <c r="C30" s="95"/>
      <c r="D30" s="95"/>
      <c r="E30" s="96"/>
      <c r="L30" s="72">
        <v>0.1823441625370435</v>
      </c>
      <c r="M30" s="74">
        <v>0.10615786933919383</v>
      </c>
      <c r="N30" s="72">
        <v>0.10615786933919383</v>
      </c>
      <c r="O30" s="74">
        <v>5.4271908986456195E-2</v>
      </c>
      <c r="P30" s="72">
        <v>0.13012508467381165</v>
      </c>
      <c r="R30" s="11"/>
    </row>
    <row r="31" spans="2:18" x14ac:dyDescent="0.25">
      <c r="B31" s="97" t="s">
        <v>68</v>
      </c>
      <c r="C31" s="98"/>
      <c r="D31" s="98"/>
      <c r="E31" s="99"/>
      <c r="L31" s="72">
        <v>0.19731220911015226</v>
      </c>
      <c r="M31" s="74">
        <v>0.14731205686806961</v>
      </c>
      <c r="N31" s="72">
        <v>0.14731205686806961</v>
      </c>
      <c r="O31" s="74">
        <v>0.12337996450656721</v>
      </c>
      <c r="P31" s="72">
        <v>0.16444667073041902</v>
      </c>
      <c r="R31" s="11"/>
    </row>
    <row r="32" spans="2:18" x14ac:dyDescent="0.25">
      <c r="B32" s="100" t="s">
        <v>66</v>
      </c>
      <c r="C32" s="101"/>
      <c r="D32" s="101"/>
      <c r="E32" s="102"/>
      <c r="L32" s="72">
        <v>0</v>
      </c>
      <c r="M32" s="74">
        <v>0.14429500892366784</v>
      </c>
      <c r="N32" s="72">
        <v>0.14429500892366784</v>
      </c>
      <c r="O32" s="74">
        <v>0.1497598659327298</v>
      </c>
      <c r="P32" s="72">
        <v>0.12761700145535343</v>
      </c>
      <c r="R32" s="11"/>
    </row>
    <row r="33" spans="1:27" x14ac:dyDescent="0.25">
      <c r="B33" s="88" t="s">
        <v>67</v>
      </c>
      <c r="C33" s="89"/>
      <c r="D33" s="89"/>
      <c r="E33" s="90"/>
      <c r="L33" s="72">
        <v>0</v>
      </c>
      <c r="M33" s="74">
        <v>0.1221978646233417</v>
      </c>
      <c r="N33" s="72">
        <v>0.1221978646233417</v>
      </c>
      <c r="O33" s="74">
        <v>4.6046266290234006E-2</v>
      </c>
      <c r="P33" s="72">
        <v>8.8001243464685713E-2</v>
      </c>
      <c r="R33" s="11"/>
    </row>
    <row r="34" spans="1:27" x14ac:dyDescent="0.25">
      <c r="B34" s="91" t="s">
        <v>65</v>
      </c>
      <c r="C34" s="92"/>
      <c r="D34" s="92"/>
      <c r="E34" s="93"/>
      <c r="L34" s="72">
        <v>0</v>
      </c>
      <c r="M34" s="74">
        <v>0.10777509250212973</v>
      </c>
      <c r="N34" s="72">
        <v>0.10777509250212973</v>
      </c>
      <c r="O34" s="74">
        <v>6.2091378029308239E-2</v>
      </c>
      <c r="P34" s="72">
        <v>7.8983417101679193E-2</v>
      </c>
      <c r="R34" s="11"/>
    </row>
    <row r="35" spans="1:27" x14ac:dyDescent="0.25">
      <c r="B35" s="68"/>
      <c r="C35" s="37"/>
      <c r="D35" s="20"/>
      <c r="L35" s="72">
        <v>0</v>
      </c>
      <c r="M35" s="74">
        <v>0</v>
      </c>
      <c r="N35" s="72">
        <v>0</v>
      </c>
      <c r="O35" s="74">
        <v>8.8156438031051082E-2</v>
      </c>
      <c r="P35" s="72">
        <v>7.231122911367846E-2</v>
      </c>
      <c r="R35" s="11"/>
    </row>
    <row r="36" spans="1:27" x14ac:dyDescent="0.25">
      <c r="B36" s="68"/>
      <c r="C36" s="37"/>
      <c r="D36" s="20"/>
      <c r="L36" s="72">
        <v>0</v>
      </c>
      <c r="M36" s="74">
        <v>0</v>
      </c>
      <c r="N36" s="72">
        <v>0</v>
      </c>
      <c r="O36" s="74">
        <v>4.9958266929350674E-2</v>
      </c>
      <c r="P36" s="72">
        <v>3.3236844370134987E-2</v>
      </c>
      <c r="R36" s="11"/>
    </row>
    <row r="37" spans="1:27" x14ac:dyDescent="0.25">
      <c r="B37" s="68"/>
      <c r="C37" s="37"/>
      <c r="D37" s="20"/>
      <c r="L37" s="72">
        <v>0</v>
      </c>
      <c r="M37" s="74">
        <v>0</v>
      </c>
      <c r="N37" s="72">
        <v>0</v>
      </c>
      <c r="O37" s="74">
        <v>4.4863052810779673E-2</v>
      </c>
      <c r="P37" s="72">
        <v>4.8941832228128063E-2</v>
      </c>
      <c r="R37" s="11"/>
    </row>
    <row r="38" spans="1:27" ht="15.75" thickBot="1" x14ac:dyDescent="0.3">
      <c r="B38" s="68"/>
      <c r="C38" s="37"/>
      <c r="D38" s="20"/>
      <c r="L38" s="73">
        <v>0.10360161623348481</v>
      </c>
      <c r="M38" s="75">
        <v>6.5573890629107054E-2</v>
      </c>
      <c r="N38" s="73">
        <v>6.5573890629107054E-2</v>
      </c>
      <c r="O38" s="75">
        <v>1.3607397770816534E-2</v>
      </c>
      <c r="P38" s="73">
        <v>1.1011336776823626E-2</v>
      </c>
      <c r="R38" s="11"/>
    </row>
    <row r="39" spans="1:27" x14ac:dyDescent="0.25">
      <c r="B39" s="68"/>
      <c r="C39" s="37"/>
      <c r="D39" s="20"/>
      <c r="R39" s="20"/>
    </row>
    <row r="40" spans="1:27" x14ac:dyDescent="0.25">
      <c r="B40" s="68"/>
      <c r="C40" s="37"/>
      <c r="D40" s="20"/>
      <c r="L40" s="5"/>
      <c r="M40" s="5"/>
      <c r="N40" s="5"/>
      <c r="O40" s="5"/>
      <c r="P40" s="5"/>
      <c r="R40" s="26"/>
    </row>
    <row r="41" spans="1:27" x14ac:dyDescent="0.25">
      <c r="B41" s="68"/>
      <c r="C41" s="37"/>
      <c r="D41" s="20"/>
    </row>
    <row r="42" spans="1:27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80"/>
      <c r="R42" s="28"/>
      <c r="S42" s="28"/>
      <c r="T42" s="28"/>
      <c r="U42" s="28"/>
      <c r="V42" s="28"/>
      <c r="W42" s="28"/>
      <c r="X42" s="27"/>
      <c r="Y42" s="27"/>
      <c r="Z42" s="27"/>
      <c r="AA42" s="27"/>
    </row>
    <row r="43" spans="1:27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80"/>
      <c r="R43" s="28"/>
      <c r="S43" s="28"/>
      <c r="T43" s="28"/>
      <c r="U43" s="28"/>
      <c r="V43" s="28"/>
      <c r="W43" s="28"/>
      <c r="X43" s="27"/>
      <c r="Y43" s="27"/>
      <c r="Z43" s="27"/>
      <c r="AA43" s="27"/>
    </row>
    <row r="44" spans="1:27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</sheetData>
  <sheetProtection algorithmName="SHA-512" hashValue="JRpVE8p4QHEcX5zec4d44osneIRAH96HswpC5Yu+Ah0+yop54/RT7AWvf126dOZQIHG0mym3mGeXunNSEJ7nAQ==" saltValue="PiyVJqLs0hYTCV0qflTh1g==" spinCount="100000" sheet="1" objects="1" scenarios="1" selectLockedCells="1"/>
  <mergeCells count="8">
    <mergeCell ref="B29:E29"/>
    <mergeCell ref="L9:M9"/>
    <mergeCell ref="K9:K10"/>
    <mergeCell ref="B33:E33"/>
    <mergeCell ref="B34:E34"/>
    <mergeCell ref="B30:E30"/>
    <mergeCell ref="B31:E31"/>
    <mergeCell ref="B32:E32"/>
  </mergeCells>
  <dataValidations count="4">
    <dataValidation type="decimal" allowBlank="1" showInputMessage="1" showErrorMessage="1" error="Value must be between 13 and 15" sqref="C16">
      <formula1>13</formula1>
      <formula2>15</formula2>
    </dataValidation>
    <dataValidation type="whole" allowBlank="1" showInputMessage="1" showErrorMessage="1" sqref="C4">
      <formula1>1</formula1>
      <formula2>3</formula2>
    </dataValidation>
    <dataValidation type="whole" allowBlank="1" showInputMessage="1" showErrorMessage="1" sqref="C3">
      <formula1>50</formula1>
      <formula2>2400</formula2>
    </dataValidation>
    <dataValidation type="decimal" allowBlank="1" showInputMessage="1" showErrorMessage="1" sqref="C8:C10">
      <formula1>0</formula1>
      <formula2>15000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</vt:lpstr>
    </vt:vector>
  </TitlesOfParts>
  <Company>J-W Operating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jdutton</dc:creator>
  <cp:lastModifiedBy>pati-svc</cp:lastModifiedBy>
  <dcterms:created xsi:type="dcterms:W3CDTF">2013-05-30T21:00:57Z</dcterms:created>
  <dcterms:modified xsi:type="dcterms:W3CDTF">2017-03-03T20:10:57Z</dcterms:modified>
</cp:coreProperties>
</file>